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4940" windowHeight="11055"/>
  </bookViews>
  <sheets>
    <sheet name="Calcs" sheetId="1" r:id="rId1"/>
    <sheet name="Notes &amp; Links" sheetId="5" r:id="rId2"/>
  </sheets>
  <definedNames>
    <definedName name="leg" localSheetId="0">Calcs!$J$16</definedName>
    <definedName name="MaxGBraking" localSheetId="0">Calcs!$J$7</definedName>
    <definedName name="padcf" localSheetId="0">Calcs!$L$24</definedName>
    <definedName name="pedalratio" localSheetId="0">Calcs!$J$18</definedName>
    <definedName name="pistondiameters" localSheetId="0">Calcs!$L$21</definedName>
  </definedNames>
  <calcPr calcId="145621"/>
</workbook>
</file>

<file path=xl/calcChain.xml><?xml version="1.0" encoding="utf-8"?>
<calcChain xmlns="http://schemas.openxmlformats.org/spreadsheetml/2006/main">
  <c r="D79" i="1" l="1"/>
  <c r="D80" i="1" s="1"/>
  <c r="D76" i="1"/>
  <c r="D77" i="1"/>
  <c r="D78" i="1"/>
  <c r="B79" i="1"/>
  <c r="B78" i="1"/>
  <c r="B77" i="1"/>
  <c r="B76" i="1"/>
  <c r="D22" i="1"/>
  <c r="B22" i="1"/>
  <c r="B23" i="1" s="1"/>
  <c r="B27" i="1" s="1"/>
  <c r="D23" i="1"/>
  <c r="D28" i="1" s="1"/>
  <c r="E58" i="1"/>
  <c r="D60" i="1" s="1"/>
  <c r="E57" i="1"/>
  <c r="D59" i="1" s="1"/>
  <c r="B45" i="1"/>
  <c r="D45" i="1" s="1"/>
  <c r="B36" i="1"/>
  <c r="D36" i="1" s="1"/>
  <c r="B43" i="1"/>
  <c r="B34" i="1"/>
  <c r="B13" i="1"/>
  <c r="D7" i="1"/>
  <c r="D8" i="1" s="1"/>
  <c r="B7" i="1"/>
  <c r="D13" i="1"/>
  <c r="M23" i="1"/>
  <c r="M24" i="1"/>
  <c r="M25" i="1"/>
  <c r="M26" i="1"/>
  <c r="M27" i="1"/>
  <c r="M28" i="1"/>
  <c r="B80" i="1" l="1"/>
  <c r="D27" i="1"/>
  <c r="B59" i="1"/>
  <c r="B49" i="1"/>
  <c r="B60" i="1"/>
  <c r="D34" i="1"/>
  <c r="D43" i="1"/>
  <c r="B15" i="1"/>
  <c r="D15" i="1"/>
  <c r="D62" i="1" s="1"/>
  <c r="D68" i="1" s="1"/>
  <c r="B28" i="1"/>
  <c r="B8" i="1"/>
  <c r="B51" i="1" l="1"/>
  <c r="B62" i="1"/>
  <c r="B64" i="1" s="1"/>
  <c r="B53" i="1"/>
  <c r="B52" i="1" s="1"/>
  <c r="D16" i="1"/>
  <c r="D63" i="1" s="1"/>
  <c r="D69" i="1" s="1"/>
  <c r="D70" i="1" s="1"/>
  <c r="B16" i="1"/>
  <c r="B63" i="1" s="1"/>
  <c r="B69" i="1" s="1"/>
  <c r="F15" i="1"/>
  <c r="F16" i="1" s="1"/>
  <c r="D49" i="1"/>
  <c r="D51" i="1"/>
  <c r="B50" i="1" l="1"/>
  <c r="B68" i="1"/>
  <c r="B65" i="1"/>
  <c r="B66" i="1"/>
  <c r="B70" i="1"/>
  <c r="D64" i="1"/>
  <c r="D65" i="1" s="1"/>
  <c r="D53" i="1"/>
  <c r="D52" i="1" s="1"/>
  <c r="D66" i="1" l="1"/>
  <c r="D50" i="1"/>
</calcChain>
</file>

<file path=xl/sharedStrings.xml><?xml version="1.0" encoding="utf-8"?>
<sst xmlns="http://schemas.openxmlformats.org/spreadsheetml/2006/main" count="239" uniqueCount="143">
  <si>
    <t>Vehicle Weight</t>
  </si>
  <si>
    <t>kg</t>
  </si>
  <si>
    <t>Front Axle Weight</t>
  </si>
  <si>
    <t>%</t>
  </si>
  <si>
    <t>Front Axle Weight %</t>
  </si>
  <si>
    <t>Rear Axle Weight</t>
  </si>
  <si>
    <t>Braking G</t>
  </si>
  <si>
    <t>g</t>
  </si>
  <si>
    <t>Wheelbase</t>
  </si>
  <si>
    <t>mm</t>
  </si>
  <si>
    <t>Braking Forces</t>
  </si>
  <si>
    <t>Pedal Leg Force</t>
  </si>
  <si>
    <t>Pedal Ratio</t>
  </si>
  <si>
    <t>:1</t>
  </si>
  <si>
    <t>Balance Bar Force</t>
  </si>
  <si>
    <t>Master Cyl Force</t>
  </si>
  <si>
    <t>N</t>
  </si>
  <si>
    <t>Front Master Cyl Diameter</t>
  </si>
  <si>
    <t>Rear Master Cyl Diameter</t>
  </si>
  <si>
    <t>Front Line Pressure</t>
  </si>
  <si>
    <t>Rear Line Pressure</t>
  </si>
  <si>
    <t>MPa</t>
  </si>
  <si>
    <t>Front Disc Braking Torque</t>
  </si>
  <si>
    <t>Front Wheel Rolling Radius</t>
  </si>
  <si>
    <t>Rear Wheel Rolling Radius</t>
  </si>
  <si>
    <t>Front Line Pressure Required</t>
  </si>
  <si>
    <t>Rear Line Pressure Required</t>
  </si>
  <si>
    <t>Pedal Force Reqd</t>
  </si>
  <si>
    <t>Based on highest F/R line pressure</t>
  </si>
  <si>
    <t>Assumed value</t>
  </si>
  <si>
    <t>Based on Braking G's specified above</t>
  </si>
  <si>
    <t>5/8</t>
  </si>
  <si>
    <t>7/10</t>
  </si>
  <si>
    <t>3/4</t>
  </si>
  <si>
    <t>13/16</t>
  </si>
  <si>
    <t>7/8</t>
  </si>
  <si>
    <t>1</t>
  </si>
  <si>
    <t>Imperial</t>
  </si>
  <si>
    <t>Decimal</t>
  </si>
  <si>
    <t>Metric Eq.</t>
  </si>
  <si>
    <t>Tilton Typical Master Cylinders</t>
  </si>
  <si>
    <t>Dynamic Weight Transfer</t>
  </si>
  <si>
    <t>Determining Max G Braking Forces</t>
  </si>
  <si>
    <t>In the best case, this number is generated through datalogging in your system. If not, then some estimates may have to come into play:</t>
  </si>
  <si>
    <t>A race car with significant downforce can generate 3.0g under braking, from 150mph+</t>
  </si>
  <si>
    <t>Racecars with somewhat less downforce will be more in the 2.25-2.5g range</t>
  </si>
  <si>
    <t>If you have lateral g data, but not longitudinal, you can approximate your lateral g by adding 10 to 15% to your lateral g numbers. </t>
  </si>
  <si>
    <t>Center of Gravity Height</t>
  </si>
  <si>
    <r>
      <t xml:space="preserve">See Notes Page </t>
    </r>
    <r>
      <rPr>
        <b/>
        <sz val="10"/>
        <rFont val="Arial"/>
        <family val="2"/>
      </rPr>
      <t>Determining Max G Braking Forces</t>
    </r>
  </si>
  <si>
    <t>Weight with driver</t>
  </si>
  <si>
    <t>Comments</t>
  </si>
  <si>
    <t>Metric</t>
  </si>
  <si>
    <r>
      <t xml:space="preserve">Center of gravity can be measured using cornerweight scales, see Longacre site </t>
    </r>
    <r>
      <rPr>
        <b/>
        <u/>
        <sz val="8"/>
        <rFont val="Verdana"/>
        <family val="2"/>
      </rPr>
      <t>http://www.longacreracing.com/technical-articles.aspx?item=42586</t>
    </r>
  </si>
  <si>
    <t>lbs</t>
  </si>
  <si>
    <t>in.</t>
  </si>
  <si>
    <t>psi</t>
  </si>
  <si>
    <t>For 4 pot caliper set to zero</t>
  </si>
  <si>
    <t>Diameter of the pistons on one side of the caliper. Single sided sliding calipers are the sames as having pistons either side.</t>
  </si>
  <si>
    <t>Total Front Caliper piston area</t>
  </si>
  <si>
    <t>mm2</t>
  </si>
  <si>
    <t>lb-ft</t>
  </si>
  <si>
    <t>Pad Coeffecient of Friction</t>
  </si>
  <si>
    <t>in.2</t>
  </si>
  <si>
    <t>Total Rear Caliper piston area</t>
  </si>
  <si>
    <t>Nm</t>
  </si>
  <si>
    <t>Typical .40 for street pads, .48 for street performance pads, and .60 for racing pads as a rough guide. Look up on manufacturer's websites. </t>
  </si>
  <si>
    <t>*</t>
  </si>
  <si>
    <t>* Assumes same compound pads front and rear</t>
  </si>
  <si>
    <t>Brake Pad Coefficient of Friction</t>
  </si>
  <si>
    <r>
      <t xml:space="preserve">See Notes Page </t>
    </r>
    <r>
      <rPr>
        <b/>
        <sz val="10"/>
        <rFont val="Arial"/>
        <family val="2"/>
      </rPr>
      <t>Brake Pad Coefficient of friction</t>
    </r>
  </si>
  <si>
    <t>Front Disc Diameter</t>
  </si>
  <si>
    <t>Rear Disc Diameter</t>
  </si>
  <si>
    <t>Front Pad Radial Height</t>
  </si>
  <si>
    <t>Rear Pad Radial Height</t>
  </si>
  <si>
    <t>Front Effective Radius</t>
  </si>
  <si>
    <t>Rear Effective Radius</t>
  </si>
  <si>
    <t>Master Cylinders</t>
  </si>
  <si>
    <t>Front Brakes</t>
  </si>
  <si>
    <t>Rear Brakes</t>
  </si>
  <si>
    <t>Total System Torque</t>
  </si>
  <si>
    <t>Front Brake Torque %</t>
  </si>
  <si>
    <t>Rear Brake Torque %</t>
  </si>
  <si>
    <t>Rear locks up first, pedal firm-reduce front master cylinder size.</t>
  </si>
  <si>
    <t>Rear locks up first, pedal feels soft-increase rear master cylinder size.</t>
  </si>
  <si>
    <t>Fronts lock up first, pedal very firm-reduce rear master cylinder size.</t>
  </si>
  <si>
    <t>Fronts lock up first, pedal feels soft-increase front master cylinder size</t>
  </si>
  <si>
    <t>Guidance</t>
  </si>
  <si>
    <t xml:space="preserve">Weight Transfer and Braking </t>
  </si>
  <si>
    <t xml:space="preserve">http://tiltonracing.com/wp-content/uploads/2013/07/98-1250-600-Series-Balance-Bars.pdf </t>
  </si>
  <si>
    <t>Balance Bar Setup</t>
  </si>
  <si>
    <t xml:space="preserve">http://dev.stoptech.com/docs/media-center-documents/pedalsetup-dualmaster-guide </t>
  </si>
  <si>
    <t>Stoptech Dual Cylinder setup guide</t>
  </si>
  <si>
    <t xml:space="preserve">http://www.sae.org/events/bce/daimlerchrysler-gritt.pdf </t>
  </si>
  <si>
    <t>SAE Paper on brake torque</t>
  </si>
  <si>
    <t>Required Brake Torque</t>
  </si>
  <si>
    <t>Front Tire size</t>
  </si>
  <si>
    <t>Rear Tire Size</t>
  </si>
  <si>
    <t>Profile</t>
  </si>
  <si>
    <t>Tread</t>
  </si>
  <si>
    <t>Tire Dia.</t>
  </si>
  <si>
    <t>Wheel Dia.</t>
  </si>
  <si>
    <t>Torque Front (Per Axle)</t>
  </si>
  <si>
    <t>Rear Disc Braking Torque</t>
  </si>
  <si>
    <t>Dynamic Front Axle Weight</t>
  </si>
  <si>
    <t>Dynamic Rear Axle Weight</t>
  </si>
  <si>
    <t>Total System Torque Required</t>
  </si>
  <si>
    <t>Torque Rear (Per Axle)</t>
  </si>
  <si>
    <t>Assumes neutral balance bar adjustment</t>
  </si>
  <si>
    <t>lbf</t>
  </si>
  <si>
    <t>NB. Metric and Imperial are separate calculations not cross linked</t>
  </si>
  <si>
    <t>Links</t>
  </si>
  <si>
    <t>Front Bias Required</t>
  </si>
  <si>
    <t>Rear Bias Required</t>
  </si>
  <si>
    <t>Caliper Number of Pistons</t>
  </si>
  <si>
    <t>Caliper Piston 1 Dia</t>
  </si>
  <si>
    <t>Caliper Piston 2 Dia</t>
  </si>
  <si>
    <t>Caliper Piston 3 Dia</t>
  </si>
  <si>
    <t>For 4 &amp; 6 pot caliper set to zero</t>
  </si>
  <si>
    <t xml:space="preserve">A full 1g deceleration is possible on a street vehicle with very high grip tires and optimum conditions. </t>
  </si>
  <si>
    <r>
      <t xml:space="preserve">A sedan on reasonable </t>
    </r>
    <r>
      <rPr>
        <u/>
        <sz val="10"/>
        <rFont val="Arial"/>
        <family val="2"/>
      </rPr>
      <t>race tires</t>
    </r>
    <r>
      <rPr>
        <sz val="10"/>
        <rFont val="Arial"/>
      </rPr>
      <t xml:space="preserve"> will be able to generate 1.25 to 1.5 g braking</t>
    </r>
  </si>
  <si>
    <t>Most street tires will work best at perhaps  0.6g to 0.8g</t>
  </si>
  <si>
    <t>A realistic value for 'leg effort'  is in the 50-60lb range. You can test this with a bathroom scale propped up againt a wall to find your comfort level.</t>
  </si>
  <si>
    <t>These calculations assume ideal road conditions and do not account for any brake lockup</t>
  </si>
  <si>
    <t>Adjusted Front Pressure:</t>
  </si>
  <si>
    <t>Adjusted Rear Pressure:</t>
  </si>
  <si>
    <t>Adjusted Front Rotor Torque:</t>
  </si>
  <si>
    <t>Adjusted Rear Rotor Torque:</t>
  </si>
  <si>
    <t>Use to see if your component choices will get you into the rough range of braking force that you require by adjusting balance</t>
  </si>
  <si>
    <t>Bias to front</t>
  </si>
  <si>
    <t>Force Distribution (2.5" Clevis Center-to-Center)</t>
  </si>
  <si>
    <t>Tilton Balance Bar</t>
  </si>
  <si>
    <t>Balancing the System - Tilton Balance Bar Adjustments</t>
  </si>
  <si>
    <t>Right Clevis</t>
  </si>
  <si>
    <t xml:space="preserve">Spherical Joint Position </t>
  </si>
  <si>
    <t xml:space="preserve">Left Clevis </t>
  </si>
  <si>
    <t xml:space="preserve">3/8" left-of-center </t>
  </si>
  <si>
    <t>1/4" left-of-center</t>
  </si>
  <si>
    <t>1/8" left-of-center</t>
  </si>
  <si>
    <t>Centered</t>
  </si>
  <si>
    <t>1/8" right-of-center</t>
  </si>
  <si>
    <t>1/4" right-of-center</t>
  </si>
  <si>
    <t>3/8" right-of-center</t>
  </si>
  <si>
    <t>Adjusted Total System Torque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</si>
</sst>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0.0"/>
    <numFmt numFmtId="166" formatCode="_-* #,##0_-;\-* #,##0_-;_-* &quot;-&quot;??_-;_-@_-"/>
    <numFmt numFmtId="167" formatCode="0.0%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</font>
    <font>
      <u/>
      <sz val="10"/>
      <color indexed="12"/>
      <name val="Arial"/>
    </font>
    <font>
      <sz val="10"/>
      <name val="Arial"/>
      <family val="2"/>
    </font>
    <font>
      <b/>
      <u/>
      <sz val="8"/>
      <name val="Verdana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0" fontId="7" fillId="0" borderId="2" xfId="0" applyFont="1" applyBorder="1"/>
    <xf numFmtId="0" fontId="0" fillId="0" borderId="3" xfId="0" applyBorder="1"/>
    <xf numFmtId="0" fontId="7" fillId="0" borderId="5" xfId="0" applyFont="1" applyBorder="1"/>
    <xf numFmtId="49" fontId="7" fillId="0" borderId="5" xfId="0" applyNumberFormat="1" applyFont="1" applyBorder="1"/>
    <xf numFmtId="164" fontId="0" fillId="0" borderId="6" xfId="0" applyNumberFormat="1" applyBorder="1"/>
    <xf numFmtId="49" fontId="7" fillId="0" borderId="7" xfId="0" applyNumberFormat="1" applyFont="1" applyBorder="1"/>
    <xf numFmtId="164" fontId="0" fillId="0" borderId="9" xfId="0" applyNumberFormat="1" applyBorder="1"/>
    <xf numFmtId="0" fontId="7" fillId="0" borderId="10" xfId="0" applyFont="1" applyBorder="1"/>
    <xf numFmtId="0" fontId="0" fillId="0" borderId="11" xfId="0" applyBorder="1"/>
    <xf numFmtId="0" fontId="0" fillId="0" borderId="12" xfId="0" applyBorder="1"/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3" fillId="0" borderId="10" xfId="0" applyFont="1" applyBorder="1"/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" fontId="5" fillId="0" borderId="0" xfId="0" applyNumberFormat="1" applyFont="1"/>
    <xf numFmtId="166" fontId="0" fillId="0" borderId="0" xfId="1" applyNumberFormat="1" applyFont="1"/>
    <xf numFmtId="1" fontId="7" fillId="0" borderId="0" xfId="0" applyNumberFormat="1" applyFont="1"/>
    <xf numFmtId="165" fontId="7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7" fillId="0" borderId="0" xfId="0" applyNumberFormat="1" applyFont="1" applyFill="1"/>
    <xf numFmtId="0" fontId="10" fillId="2" borderId="0" xfId="0" applyFont="1" applyFill="1"/>
    <xf numFmtId="1" fontId="10" fillId="2" borderId="0" xfId="0" applyNumberFormat="1" applyFont="1" applyFill="1"/>
    <xf numFmtId="165" fontId="10" fillId="2" borderId="0" xfId="0" applyNumberFormat="1" applyFont="1" applyFill="1"/>
    <xf numFmtId="2" fontId="0" fillId="0" borderId="0" xfId="0" applyNumberFormat="1" applyFill="1"/>
    <xf numFmtId="166" fontId="0" fillId="0" borderId="0" xfId="0" applyNumberFormat="1"/>
    <xf numFmtId="9" fontId="0" fillId="0" borderId="0" xfId="3" applyFont="1"/>
    <xf numFmtId="167" fontId="0" fillId="0" borderId="0" xfId="3" applyNumberFormat="1" applyFont="1"/>
    <xf numFmtId="2" fontId="10" fillId="2" borderId="0" xfId="0" applyNumberFormat="1" applyFont="1" applyFill="1"/>
    <xf numFmtId="0" fontId="6" fillId="0" borderId="0" xfId="2" applyAlignment="1" applyProtection="1"/>
    <xf numFmtId="0" fontId="7" fillId="0" borderId="0" xfId="0" applyFont="1" applyFill="1" applyBorder="1"/>
    <xf numFmtId="166" fontId="11" fillId="0" borderId="0" xfId="1" applyNumberFormat="1" applyFont="1"/>
    <xf numFmtId="43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9" fontId="7" fillId="0" borderId="0" xfId="3" applyFont="1" applyFill="1"/>
    <xf numFmtId="9" fontId="0" fillId="0" borderId="4" xfId="3" applyFont="1" applyBorder="1"/>
    <xf numFmtId="0" fontId="0" fillId="0" borderId="0" xfId="0" applyBorder="1"/>
    <xf numFmtId="9" fontId="0" fillId="0" borderId="6" xfId="3" applyFont="1" applyBorder="1"/>
    <xf numFmtId="0" fontId="7" fillId="0" borderId="7" xfId="0" applyFont="1" applyBorder="1"/>
    <xf numFmtId="0" fontId="0" fillId="0" borderId="8" xfId="0" applyBorder="1"/>
    <xf numFmtId="9" fontId="0" fillId="0" borderId="9" xfId="3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9" fontId="0" fillId="0" borderId="13" xfId="3" applyFont="1" applyBorder="1"/>
    <xf numFmtId="9" fontId="0" fillId="0" borderId="14" xfId="3" applyFont="1" applyBorder="1"/>
    <xf numFmtId="9" fontId="0" fillId="0" borderId="15" xfId="3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1" xfId="0" applyFont="1" applyBorder="1"/>
    <xf numFmtId="0" fontId="7" fillId="0" borderId="12" xfId="0" applyFont="1" applyBorder="1"/>
    <xf numFmtId="9" fontId="10" fillId="2" borderId="0" xfId="3" applyFont="1" applyFill="1"/>
    <xf numFmtId="166" fontId="12" fillId="0" borderId="0" xfId="0" applyNumberFormat="1" applyFont="1"/>
    <xf numFmtId="1" fontId="11" fillId="0" borderId="0" xfId="0" applyNumberFormat="1" applyFont="1"/>
    <xf numFmtId="0" fontId="11" fillId="0" borderId="0" xfId="0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e.org/events/bce/daimlerchrysler-gritt.pdf" TargetMode="External"/><Relationship Id="rId2" Type="http://schemas.openxmlformats.org/officeDocument/2006/relationships/hyperlink" Target="http://dev.stoptech.com/docs/media-center-documents/pedalsetup-dualmaster-guide" TargetMode="External"/><Relationship Id="rId1" Type="http://schemas.openxmlformats.org/officeDocument/2006/relationships/hyperlink" Target="http://tiltonracing.com/wp-content/uploads/2013/07/98-1250-600-Series-Balance-Ba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10" workbookViewId="0">
      <selection activeCell="C82" sqref="C82"/>
    </sheetView>
  </sheetViews>
  <sheetFormatPr defaultRowHeight="12.75" x14ac:dyDescent="0.2"/>
  <cols>
    <col min="1" max="1" width="41" bestFit="1" customWidth="1"/>
    <col min="2" max="2" width="10.28515625" bestFit="1" customWidth="1"/>
    <col min="4" max="4" width="10.28515625" bestFit="1" customWidth="1"/>
    <col min="8" max="8" width="10.7109375" customWidth="1"/>
    <col min="9" max="9" width="10.140625" customWidth="1"/>
    <col min="10" max="10" width="9.5703125" customWidth="1"/>
    <col min="11" max="11" width="10.5703125" customWidth="1"/>
    <col min="12" max="14" width="10" customWidth="1"/>
  </cols>
  <sheetData>
    <row r="1" spans="1:9" ht="18" x14ac:dyDescent="0.25">
      <c r="A1" s="4" t="s">
        <v>87</v>
      </c>
      <c r="B1" s="4"/>
      <c r="C1" s="4"/>
      <c r="D1" s="4"/>
      <c r="F1" s="7" t="s">
        <v>122</v>
      </c>
    </row>
    <row r="3" spans="1:9" x14ac:dyDescent="0.2">
      <c r="A3" s="3" t="s">
        <v>41</v>
      </c>
      <c r="F3" s="3" t="s">
        <v>50</v>
      </c>
    </row>
    <row r="4" spans="1:9" x14ac:dyDescent="0.2">
      <c r="B4" s="22" t="s">
        <v>51</v>
      </c>
      <c r="D4" s="22" t="s">
        <v>37</v>
      </c>
      <c r="F4" s="7" t="s">
        <v>109</v>
      </c>
    </row>
    <row r="5" spans="1:9" x14ac:dyDescent="0.2">
      <c r="A5" s="1" t="s">
        <v>0</v>
      </c>
      <c r="B5" s="31">
        <v>473</v>
      </c>
      <c r="C5" t="s">
        <v>1</v>
      </c>
      <c r="D5" s="31">
        <v>1040</v>
      </c>
      <c r="E5" s="7" t="s">
        <v>53</v>
      </c>
      <c r="F5" s="7" t="s">
        <v>49</v>
      </c>
    </row>
    <row r="6" spans="1:9" x14ac:dyDescent="0.2">
      <c r="A6" s="1" t="s">
        <v>4</v>
      </c>
      <c r="B6" s="31">
        <v>41</v>
      </c>
      <c r="C6" t="s">
        <v>3</v>
      </c>
      <c r="D6" s="31">
        <v>41</v>
      </c>
      <c r="E6" s="7" t="s">
        <v>3</v>
      </c>
    </row>
    <row r="7" spans="1:9" x14ac:dyDescent="0.2">
      <c r="A7" s="1" t="s">
        <v>2</v>
      </c>
      <c r="B7">
        <f>B5*B6/100</f>
        <v>193.93</v>
      </c>
      <c r="C7" t="s">
        <v>1</v>
      </c>
      <c r="D7">
        <f>D5*D6/100</f>
        <v>426.4</v>
      </c>
      <c r="E7" s="7" t="s">
        <v>53</v>
      </c>
    </row>
    <row r="8" spans="1:9" x14ac:dyDescent="0.2">
      <c r="A8" s="1" t="s">
        <v>5</v>
      </c>
      <c r="B8">
        <f>B5-B7</f>
        <v>279.07</v>
      </c>
      <c r="C8" t="s">
        <v>1</v>
      </c>
      <c r="D8">
        <f>D5-D7</f>
        <v>613.6</v>
      </c>
      <c r="E8" s="7" t="s">
        <v>53</v>
      </c>
    </row>
    <row r="9" spans="1:9" x14ac:dyDescent="0.2">
      <c r="A9" s="1" t="s">
        <v>6</v>
      </c>
      <c r="B9" s="31">
        <v>1.5</v>
      </c>
      <c r="C9" t="s">
        <v>7</v>
      </c>
      <c r="D9" s="31">
        <v>1.5</v>
      </c>
      <c r="E9" s="7" t="s">
        <v>7</v>
      </c>
      <c r="F9" s="7" t="s">
        <v>48</v>
      </c>
    </row>
    <row r="10" spans="1:9" x14ac:dyDescent="0.2">
      <c r="A10" s="1" t="s">
        <v>8</v>
      </c>
      <c r="B10" s="31">
        <v>2440</v>
      </c>
      <c r="C10" t="s">
        <v>9</v>
      </c>
      <c r="D10" s="31">
        <v>96</v>
      </c>
      <c r="E10" s="7" t="s">
        <v>54</v>
      </c>
    </row>
    <row r="11" spans="1:9" x14ac:dyDescent="0.2">
      <c r="A11" s="18" t="s">
        <v>47</v>
      </c>
      <c r="B11" s="31">
        <v>254</v>
      </c>
      <c r="C11" t="s">
        <v>9</v>
      </c>
      <c r="D11" s="31">
        <v>10</v>
      </c>
      <c r="E11" s="7" t="s">
        <v>54</v>
      </c>
      <c r="F11" s="7" t="s">
        <v>52</v>
      </c>
    </row>
    <row r="12" spans="1:9" x14ac:dyDescent="0.2">
      <c r="D12" s="5"/>
      <c r="E12" s="7"/>
    </row>
    <row r="13" spans="1:9" x14ac:dyDescent="0.2">
      <c r="A13" s="18" t="s">
        <v>41</v>
      </c>
      <c r="B13">
        <f>ROUNDUP(B9*B5*B11/B10,0)</f>
        <v>74</v>
      </c>
      <c r="C13" t="s">
        <v>1</v>
      </c>
      <c r="D13" s="6">
        <f>ROUNDUP(D9*D5*D11/D10,0)</f>
        <v>163</v>
      </c>
      <c r="E13" s="7" t="s">
        <v>53</v>
      </c>
    </row>
    <row r="14" spans="1:9" x14ac:dyDescent="0.2">
      <c r="D14" s="5"/>
      <c r="E14" s="7"/>
    </row>
    <row r="15" spans="1:9" x14ac:dyDescent="0.2">
      <c r="A15" s="18" t="s">
        <v>103</v>
      </c>
      <c r="B15" s="23">
        <f>B7+B13</f>
        <v>267.93</v>
      </c>
      <c r="C15" t="s">
        <v>1</v>
      </c>
      <c r="D15" s="5">
        <f>D7+D13</f>
        <v>589.4</v>
      </c>
      <c r="E15" s="7" t="s">
        <v>53</v>
      </c>
      <c r="F15" s="5">
        <f>ROUNDUP(B15/B5*100,0)</f>
        <v>57</v>
      </c>
      <c r="G15" t="s">
        <v>3</v>
      </c>
      <c r="I15" s="6"/>
    </row>
    <row r="16" spans="1:9" x14ac:dyDescent="0.2">
      <c r="A16" s="18" t="s">
        <v>104</v>
      </c>
      <c r="B16" s="23">
        <f>B5-B15</f>
        <v>205.07</v>
      </c>
      <c r="C16" t="s">
        <v>1</v>
      </c>
      <c r="D16" s="5">
        <f>D5-D15</f>
        <v>450.6</v>
      </c>
      <c r="E16" s="7" t="s">
        <v>53</v>
      </c>
      <c r="F16" s="5">
        <f>100-F15</f>
        <v>43</v>
      </c>
      <c r="G16" t="s">
        <v>3</v>
      </c>
      <c r="I16" s="6"/>
    </row>
    <row r="18" spans="1:13" x14ac:dyDescent="0.2">
      <c r="A18" s="3" t="s">
        <v>10</v>
      </c>
    </row>
    <row r="19" spans="1:13" x14ac:dyDescent="0.2">
      <c r="A19" s="3"/>
    </row>
    <row r="20" spans="1:13" x14ac:dyDescent="0.2">
      <c r="A20" s="1" t="s">
        <v>11</v>
      </c>
      <c r="B20" s="31">
        <v>22.8</v>
      </c>
      <c r="C20" t="s">
        <v>1</v>
      </c>
      <c r="D20" s="31">
        <v>50</v>
      </c>
      <c r="E20" s="7" t="s">
        <v>53</v>
      </c>
      <c r="F20" t="s">
        <v>29</v>
      </c>
    </row>
    <row r="21" spans="1:13" x14ac:dyDescent="0.2">
      <c r="A21" s="1" t="s">
        <v>12</v>
      </c>
      <c r="B21" s="31">
        <v>4.43</v>
      </c>
      <c r="C21" t="s">
        <v>13</v>
      </c>
      <c r="D21" s="31">
        <v>4.43</v>
      </c>
      <c r="E21" s="7" t="s">
        <v>13</v>
      </c>
      <c r="K21" s="21" t="s">
        <v>40</v>
      </c>
      <c r="L21" s="16"/>
      <c r="M21" s="17"/>
    </row>
    <row r="22" spans="1:13" x14ac:dyDescent="0.2">
      <c r="A22" s="1" t="s">
        <v>14</v>
      </c>
      <c r="B22">
        <f>ROUNDUP(B20*B21*9.81,0)</f>
        <v>991</v>
      </c>
      <c r="C22" t="s">
        <v>16</v>
      </c>
      <c r="D22" s="25">
        <f>ROUNDUP(D20*D21,0)</f>
        <v>222</v>
      </c>
      <c r="E22" s="7" t="s">
        <v>108</v>
      </c>
      <c r="K22" s="15" t="s">
        <v>37</v>
      </c>
      <c r="L22" s="60" t="s">
        <v>38</v>
      </c>
      <c r="M22" s="61" t="s">
        <v>39</v>
      </c>
    </row>
    <row r="23" spans="1:13" x14ac:dyDescent="0.2">
      <c r="A23" s="1" t="s">
        <v>15</v>
      </c>
      <c r="B23">
        <f>B22/2</f>
        <v>495.5</v>
      </c>
      <c r="C23" t="s">
        <v>16</v>
      </c>
      <c r="D23" s="25">
        <f>D22/2</f>
        <v>111</v>
      </c>
      <c r="E23" s="7" t="s">
        <v>108</v>
      </c>
      <c r="F23" s="7" t="s">
        <v>107</v>
      </c>
      <c r="K23" s="11" t="s">
        <v>31</v>
      </c>
      <c r="L23" s="58">
        <v>0.625</v>
      </c>
      <c r="M23" s="12">
        <f t="shared" ref="M23:M28" si="0">L23*25.4</f>
        <v>15.875</v>
      </c>
    </row>
    <row r="24" spans="1:13" x14ac:dyDescent="0.2">
      <c r="A24" s="29" t="s">
        <v>76</v>
      </c>
      <c r="F24" s="7"/>
      <c r="K24" s="11" t="s">
        <v>32</v>
      </c>
      <c r="L24" s="58">
        <v>0.7</v>
      </c>
      <c r="M24" s="12">
        <f t="shared" si="0"/>
        <v>17.779999999999998</v>
      </c>
    </row>
    <row r="25" spans="1:13" x14ac:dyDescent="0.2">
      <c r="A25" s="1" t="s">
        <v>17</v>
      </c>
      <c r="B25" s="31">
        <v>20.64</v>
      </c>
      <c r="C25" t="s">
        <v>9</v>
      </c>
      <c r="D25" s="38">
        <v>0.81</v>
      </c>
      <c r="E25" s="7" t="s">
        <v>54</v>
      </c>
      <c r="K25" s="11" t="s">
        <v>33</v>
      </c>
      <c r="L25" s="58">
        <v>0.75</v>
      </c>
      <c r="M25" s="12">
        <f t="shared" si="0"/>
        <v>19.049999999999997</v>
      </c>
    </row>
    <row r="26" spans="1:13" x14ac:dyDescent="0.2">
      <c r="A26" s="1" t="s">
        <v>18</v>
      </c>
      <c r="B26" s="31">
        <v>20.64</v>
      </c>
      <c r="C26" t="s">
        <v>9</v>
      </c>
      <c r="D26" s="38">
        <v>0.81</v>
      </c>
      <c r="E26" s="7" t="s">
        <v>54</v>
      </c>
      <c r="K26" s="11" t="s">
        <v>34</v>
      </c>
      <c r="L26" s="58">
        <v>0.8125</v>
      </c>
      <c r="M26" s="12">
        <f t="shared" si="0"/>
        <v>20.637499999999999</v>
      </c>
    </row>
    <row r="27" spans="1:13" x14ac:dyDescent="0.2">
      <c r="A27" s="1" t="s">
        <v>19</v>
      </c>
      <c r="B27" s="2">
        <f>B23/((B25/2)^2*PI())</f>
        <v>1.4809295246310719</v>
      </c>
      <c r="C27" t="s">
        <v>21</v>
      </c>
      <c r="D27" s="6">
        <f>D23/((D25/2)^2*PI())</f>
        <v>215.40861067764524</v>
      </c>
      <c r="E27" s="7" t="s">
        <v>55</v>
      </c>
      <c r="K27" s="11" t="s">
        <v>35</v>
      </c>
      <c r="L27" s="58">
        <v>0.875</v>
      </c>
      <c r="M27" s="12">
        <f t="shared" si="0"/>
        <v>22.224999999999998</v>
      </c>
    </row>
    <row r="28" spans="1:13" x14ac:dyDescent="0.2">
      <c r="A28" s="1" t="s">
        <v>20</v>
      </c>
      <c r="B28" s="2">
        <f>B23/(B26*B26*PI()/4)</f>
        <v>1.4809295246310719</v>
      </c>
      <c r="C28" t="s">
        <v>21</v>
      </c>
      <c r="D28" s="6">
        <f>D23/(D26*D26*PI()/4)</f>
        <v>215.40861067764524</v>
      </c>
      <c r="E28" s="7" t="s">
        <v>55</v>
      </c>
      <c r="K28" s="13" t="s">
        <v>36</v>
      </c>
      <c r="L28" s="59">
        <v>1</v>
      </c>
      <c r="M28" s="14">
        <f t="shared" si="0"/>
        <v>25.4</v>
      </c>
    </row>
    <row r="29" spans="1:13" x14ac:dyDescent="0.2">
      <c r="A29" s="29" t="s">
        <v>77</v>
      </c>
      <c r="B29" s="2"/>
      <c r="D29" s="5"/>
      <c r="E29" s="7"/>
    </row>
    <row r="30" spans="1:13" x14ac:dyDescent="0.2">
      <c r="A30" s="18" t="s">
        <v>113</v>
      </c>
      <c r="B30" s="31">
        <v>4</v>
      </c>
      <c r="D30" s="31">
        <v>4</v>
      </c>
      <c r="E30" s="7"/>
    </row>
    <row r="31" spans="1:13" x14ac:dyDescent="0.2">
      <c r="A31" s="18" t="s">
        <v>114</v>
      </c>
      <c r="B31" s="31">
        <v>44.5</v>
      </c>
      <c r="C31" t="s">
        <v>9</v>
      </c>
      <c r="D31" s="38">
        <v>1.75</v>
      </c>
      <c r="E31" s="7" t="s">
        <v>54</v>
      </c>
      <c r="F31" s="7" t="s">
        <v>57</v>
      </c>
    </row>
    <row r="32" spans="1:13" x14ac:dyDescent="0.2">
      <c r="A32" s="18" t="s">
        <v>115</v>
      </c>
      <c r="B32" s="31">
        <v>44.5</v>
      </c>
      <c r="C32" t="s">
        <v>9</v>
      </c>
      <c r="D32" s="38">
        <v>1.75</v>
      </c>
      <c r="E32" s="7" t="s">
        <v>54</v>
      </c>
      <c r="F32" s="7" t="s">
        <v>117</v>
      </c>
      <c r="I32" s="7"/>
    </row>
    <row r="33" spans="1:11" x14ac:dyDescent="0.2">
      <c r="A33" s="18" t="s">
        <v>116</v>
      </c>
      <c r="B33" s="33">
        <v>0</v>
      </c>
      <c r="C33" t="s">
        <v>9</v>
      </c>
      <c r="D33" s="38">
        <v>0</v>
      </c>
      <c r="E33" s="7" t="s">
        <v>54</v>
      </c>
      <c r="F33" s="7" t="s">
        <v>56</v>
      </c>
      <c r="I33" s="7"/>
    </row>
    <row r="34" spans="1:11" x14ac:dyDescent="0.2">
      <c r="A34" s="18" t="s">
        <v>58</v>
      </c>
      <c r="B34" s="26">
        <f>PI()*B31/2*B31/2 +PI()*B32/2*B32/2+PI()*B33/2*B33/2</f>
        <v>3110.5694261355943</v>
      </c>
      <c r="C34" s="7" t="s">
        <v>59</v>
      </c>
      <c r="D34" s="27">
        <f>PI()*D31/2*D31/2 +PI()*D32/2*D32/2+PI()*D33/2*D33/2</f>
        <v>4.8105637508093704</v>
      </c>
      <c r="E34" s="7" t="s">
        <v>62</v>
      </c>
      <c r="F34" s="7"/>
      <c r="I34" s="7"/>
    </row>
    <row r="35" spans="1:11" x14ac:dyDescent="0.2">
      <c r="A35" s="18" t="s">
        <v>72</v>
      </c>
      <c r="B35" s="32">
        <v>46</v>
      </c>
      <c r="C35" s="7" t="s">
        <v>9</v>
      </c>
      <c r="D35" s="38">
        <v>1.8</v>
      </c>
      <c r="E35" s="7" t="s">
        <v>54</v>
      </c>
      <c r="F35" s="7"/>
      <c r="I35" s="7"/>
    </row>
    <row r="36" spans="1:11" x14ac:dyDescent="0.2">
      <c r="A36" s="18" t="s">
        <v>74</v>
      </c>
      <c r="B36" s="30">
        <f>(B37/2)-(B35/2)</f>
        <v>142</v>
      </c>
      <c r="C36" s="7" t="s">
        <v>9</v>
      </c>
      <c r="D36" s="34">
        <f>B36/25.4</f>
        <v>5.5905511811023629</v>
      </c>
      <c r="E36" s="7" t="s">
        <v>54</v>
      </c>
      <c r="F36" s="7"/>
    </row>
    <row r="37" spans="1:11" x14ac:dyDescent="0.2">
      <c r="A37" s="18" t="s">
        <v>70</v>
      </c>
      <c r="B37" s="31">
        <v>330</v>
      </c>
      <c r="C37" t="s">
        <v>9</v>
      </c>
      <c r="D37" s="38">
        <v>13</v>
      </c>
      <c r="E37" s="7" t="s">
        <v>54</v>
      </c>
      <c r="F37" s="7"/>
    </row>
    <row r="38" spans="1:11" x14ac:dyDescent="0.2">
      <c r="A38" s="29" t="s">
        <v>78</v>
      </c>
      <c r="B38" s="7"/>
      <c r="C38" s="7"/>
      <c r="D38" s="7"/>
      <c r="E38" s="7"/>
      <c r="F38" s="7"/>
    </row>
    <row r="39" spans="1:11" x14ac:dyDescent="0.2">
      <c r="A39" s="18" t="s">
        <v>113</v>
      </c>
      <c r="B39" s="31">
        <v>4</v>
      </c>
      <c r="D39" s="31">
        <v>4</v>
      </c>
      <c r="E39" s="7"/>
      <c r="F39" s="7"/>
    </row>
    <row r="40" spans="1:11" x14ac:dyDescent="0.2">
      <c r="A40" s="18" t="s">
        <v>114</v>
      </c>
      <c r="B40" s="31">
        <v>36</v>
      </c>
      <c r="C40" t="s">
        <v>9</v>
      </c>
      <c r="D40" s="38">
        <v>1.42</v>
      </c>
      <c r="E40" s="7" t="s">
        <v>54</v>
      </c>
      <c r="F40" s="7" t="s">
        <v>57</v>
      </c>
    </row>
    <row r="41" spans="1:11" x14ac:dyDescent="0.2">
      <c r="A41" s="18" t="s">
        <v>115</v>
      </c>
      <c r="B41" s="31">
        <v>36</v>
      </c>
      <c r="C41" t="s">
        <v>9</v>
      </c>
      <c r="D41" s="38">
        <v>1.42</v>
      </c>
      <c r="E41" s="7" t="s">
        <v>54</v>
      </c>
      <c r="F41" s="7" t="s">
        <v>117</v>
      </c>
    </row>
    <row r="42" spans="1:11" x14ac:dyDescent="0.2">
      <c r="A42" s="18" t="s">
        <v>116</v>
      </c>
      <c r="B42" s="31">
        <v>0</v>
      </c>
      <c r="C42" t="s">
        <v>9</v>
      </c>
      <c r="D42" s="38">
        <v>0</v>
      </c>
      <c r="E42" s="7" t="s">
        <v>54</v>
      </c>
      <c r="F42" s="7" t="s">
        <v>56</v>
      </c>
    </row>
    <row r="43" spans="1:11" x14ac:dyDescent="0.2">
      <c r="A43" s="18" t="s">
        <v>63</v>
      </c>
      <c r="B43" s="26">
        <f>PI()*B40/2*B40/2+PI()*B41/2*B41/2+PI()*B42/2*B42/2</f>
        <v>2035.7520395261859</v>
      </c>
      <c r="C43" s="7" t="s">
        <v>59</v>
      </c>
      <c r="D43" s="27">
        <f>PI()*D40/2*D40/2+PI()*D41/2*D41/2+PI()*D42/2*D42/2</f>
        <v>3.1673537133492289</v>
      </c>
      <c r="E43" s="7" t="s">
        <v>62</v>
      </c>
      <c r="F43" s="7"/>
    </row>
    <row r="44" spans="1:11" x14ac:dyDescent="0.2">
      <c r="A44" s="18" t="s">
        <v>73</v>
      </c>
      <c r="B44" s="33">
        <v>46</v>
      </c>
      <c r="C44" t="s">
        <v>9</v>
      </c>
      <c r="D44" s="38">
        <v>1.8</v>
      </c>
      <c r="E44" s="7" t="s">
        <v>54</v>
      </c>
      <c r="F44" s="7"/>
    </row>
    <row r="45" spans="1:11" x14ac:dyDescent="0.2">
      <c r="A45" s="18" t="s">
        <v>75</v>
      </c>
      <c r="B45" s="24">
        <f>(B46/2)-(B44/2)</f>
        <v>91</v>
      </c>
      <c r="C45" t="s">
        <v>9</v>
      </c>
      <c r="D45" s="34">
        <f>B45/25.4</f>
        <v>3.582677165354331</v>
      </c>
      <c r="E45" s="7" t="s">
        <v>54</v>
      </c>
      <c r="F45" s="7"/>
    </row>
    <row r="46" spans="1:11" x14ac:dyDescent="0.2">
      <c r="A46" s="18" t="s">
        <v>71</v>
      </c>
      <c r="B46" s="31">
        <v>228</v>
      </c>
      <c r="C46" t="s">
        <v>9</v>
      </c>
      <c r="D46" s="38">
        <v>9</v>
      </c>
      <c r="E46" s="7" t="s">
        <v>54</v>
      </c>
      <c r="F46" s="7"/>
      <c r="I46" s="7"/>
    </row>
    <row r="47" spans="1:11" x14ac:dyDescent="0.2">
      <c r="F47" s="7"/>
    </row>
    <row r="48" spans="1:11" x14ac:dyDescent="0.2">
      <c r="A48" s="18" t="s">
        <v>61</v>
      </c>
      <c r="B48" s="31">
        <v>0.45</v>
      </c>
      <c r="C48" s="7" t="s">
        <v>66</v>
      </c>
      <c r="D48" s="38">
        <v>0.45</v>
      </c>
      <c r="E48" s="7" t="s">
        <v>66</v>
      </c>
      <c r="F48" s="7" t="s">
        <v>69</v>
      </c>
      <c r="K48" s="7" t="s">
        <v>67</v>
      </c>
    </row>
    <row r="49" spans="1:11" x14ac:dyDescent="0.2">
      <c r="A49" s="1" t="s">
        <v>22</v>
      </c>
      <c r="B49" s="41">
        <f>2*B34*B36*B48*B27*2/1000</f>
        <v>1177.4301163635751</v>
      </c>
      <c r="C49" s="7" t="s">
        <v>64</v>
      </c>
      <c r="D49" s="41">
        <f>2*D34*D36*D48*D27*2/12</f>
        <v>868.97027532052323</v>
      </c>
      <c r="E49" s="7" t="s">
        <v>60</v>
      </c>
      <c r="G49" s="1"/>
      <c r="H49" s="1"/>
      <c r="I49" s="1"/>
      <c r="J49" s="1"/>
    </row>
    <row r="50" spans="1:11" x14ac:dyDescent="0.2">
      <c r="A50" s="18" t="s">
        <v>80</v>
      </c>
      <c r="B50" s="37">
        <f>B49/B53</f>
        <v>0.70451843565341254</v>
      </c>
      <c r="C50" s="7"/>
      <c r="D50" s="37">
        <f>D49/D53</f>
        <v>0.7032631409741199</v>
      </c>
      <c r="E50" s="7"/>
    </row>
    <row r="51" spans="1:11" x14ac:dyDescent="0.2">
      <c r="A51" s="18" t="s">
        <v>102</v>
      </c>
      <c r="B51" s="41">
        <f>2*B43*B45*B48*B28*2/1000</f>
        <v>493.82510816657651</v>
      </c>
      <c r="C51" s="7" t="s">
        <v>64</v>
      </c>
      <c r="D51" s="41">
        <f>2*D43*D45*D48*D28*2/12</f>
        <v>366.65580074095669</v>
      </c>
      <c r="E51" s="7" t="s">
        <v>60</v>
      </c>
    </row>
    <row r="52" spans="1:11" x14ac:dyDescent="0.2">
      <c r="A52" s="18" t="s">
        <v>81</v>
      </c>
      <c r="B52" s="37">
        <f>B51/B53</f>
        <v>0.29548156434658751</v>
      </c>
      <c r="C52" s="7"/>
      <c r="D52" s="37">
        <f>D51/D53</f>
        <v>0.29673685902587998</v>
      </c>
      <c r="E52" s="7"/>
      <c r="G52" s="1"/>
      <c r="H52" s="1"/>
      <c r="I52" s="1"/>
      <c r="J52" s="1"/>
    </row>
    <row r="53" spans="1:11" x14ac:dyDescent="0.2">
      <c r="A53" s="18" t="s">
        <v>79</v>
      </c>
      <c r="B53" s="35">
        <f>B49+B51</f>
        <v>1671.2552245301515</v>
      </c>
      <c r="C53" s="7" t="s">
        <v>64</v>
      </c>
      <c r="D53" s="35">
        <f>D49+D51</f>
        <v>1235.62607606148</v>
      </c>
      <c r="E53" s="7" t="s">
        <v>60</v>
      </c>
    </row>
    <row r="55" spans="1:11" x14ac:dyDescent="0.2">
      <c r="A55" s="28" t="s">
        <v>94</v>
      </c>
      <c r="G55" s="7"/>
    </row>
    <row r="56" spans="1:11" x14ac:dyDescent="0.2">
      <c r="A56" s="43"/>
      <c r="B56" s="20" t="s">
        <v>98</v>
      </c>
      <c r="C56" s="20" t="s">
        <v>97</v>
      </c>
      <c r="D56" s="20" t="s">
        <v>100</v>
      </c>
      <c r="E56" s="20" t="s">
        <v>99</v>
      </c>
    </row>
    <row r="57" spans="1:11" x14ac:dyDescent="0.2">
      <c r="A57" s="18" t="s">
        <v>95</v>
      </c>
      <c r="B57" s="31">
        <v>235</v>
      </c>
      <c r="C57" s="31">
        <v>45</v>
      </c>
      <c r="D57" s="31">
        <v>17</v>
      </c>
      <c r="E57" s="2">
        <f>((B57*C57/100*2)/25.4)+D57</f>
        <v>25.326771653543307</v>
      </c>
      <c r="F57" s="7" t="s">
        <v>54</v>
      </c>
    </row>
    <row r="58" spans="1:11" x14ac:dyDescent="0.2">
      <c r="A58" s="18" t="s">
        <v>96</v>
      </c>
      <c r="B58" s="31">
        <v>275</v>
      </c>
      <c r="C58" s="31">
        <v>40</v>
      </c>
      <c r="D58" s="31">
        <v>17</v>
      </c>
      <c r="E58" s="2">
        <f>((B58*C58/100*2)/25.4)+D58</f>
        <v>25.661417322834644</v>
      </c>
      <c r="F58" s="7" t="s">
        <v>54</v>
      </c>
    </row>
    <row r="59" spans="1:11" x14ac:dyDescent="0.2">
      <c r="A59" s="18" t="s">
        <v>23</v>
      </c>
      <c r="B59" s="26">
        <f>E57/2*25.4</f>
        <v>321.64999999999998</v>
      </c>
      <c r="C59" t="s">
        <v>9</v>
      </c>
      <c r="D59" s="5">
        <f>E57/2</f>
        <v>12.663385826771654</v>
      </c>
      <c r="E59" s="7" t="s">
        <v>54</v>
      </c>
    </row>
    <row r="60" spans="1:11" x14ac:dyDescent="0.2">
      <c r="A60" s="1" t="s">
        <v>24</v>
      </c>
      <c r="B60" s="26">
        <f>E58/2*25.4</f>
        <v>325.89999999999998</v>
      </c>
      <c r="C60" t="s">
        <v>9</v>
      </c>
      <c r="D60" s="5">
        <f>E58/2</f>
        <v>12.830708661417322</v>
      </c>
      <c r="E60" s="7" t="s">
        <v>54</v>
      </c>
    </row>
    <row r="62" spans="1:11" x14ac:dyDescent="0.2">
      <c r="A62" s="18" t="s">
        <v>101</v>
      </c>
      <c r="B62" s="41">
        <f>B15*B59*B9*9.81/1000</f>
        <v>1268.1340574175001</v>
      </c>
      <c r="C62" s="7" t="s">
        <v>64</v>
      </c>
      <c r="D62" s="41">
        <f>D15*(D59/12)*D9</f>
        <v>932.97495078740167</v>
      </c>
      <c r="E62" s="7" t="s">
        <v>60</v>
      </c>
      <c r="F62" t="s">
        <v>30</v>
      </c>
      <c r="K62" s="42"/>
    </row>
    <row r="63" spans="1:11" x14ac:dyDescent="0.2">
      <c r="A63" s="18" t="s">
        <v>106</v>
      </c>
      <c r="B63" s="41">
        <f>B16*B60*B9*9.81/1000</f>
        <v>983.43748579499993</v>
      </c>
      <c r="C63" s="7" t="s">
        <v>64</v>
      </c>
      <c r="D63" s="41">
        <f>D16*(D60/12)*D9</f>
        <v>722.68966535433083</v>
      </c>
      <c r="E63" s="7" t="s">
        <v>60</v>
      </c>
      <c r="F63" t="s">
        <v>30</v>
      </c>
      <c r="K63" s="42"/>
    </row>
    <row r="64" spans="1:11" x14ac:dyDescent="0.2">
      <c r="A64" s="18" t="s">
        <v>105</v>
      </c>
      <c r="B64" s="35">
        <f>B62+B63</f>
        <v>2251.5715432124998</v>
      </c>
      <c r="C64" s="7" t="s">
        <v>64</v>
      </c>
      <c r="D64" s="35">
        <f>D62+D63</f>
        <v>1655.6646161417325</v>
      </c>
      <c r="E64" s="7" t="s">
        <v>60</v>
      </c>
    </row>
    <row r="65" spans="1:11" x14ac:dyDescent="0.2">
      <c r="A65" s="18" t="s">
        <v>111</v>
      </c>
      <c r="B65" s="36">
        <f>B62/B64</f>
        <v>0.56322174671303149</v>
      </c>
      <c r="D65" s="36">
        <f>D62/D64</f>
        <v>0.56350479541053056</v>
      </c>
    </row>
    <row r="66" spans="1:11" x14ac:dyDescent="0.2">
      <c r="A66" s="18" t="s">
        <v>112</v>
      </c>
      <c r="B66" s="36">
        <f>B63/B64</f>
        <v>0.43677825328696857</v>
      </c>
      <c r="D66" s="36">
        <f>D63/D64</f>
        <v>0.43649520458946939</v>
      </c>
    </row>
    <row r="68" spans="1:11" x14ac:dyDescent="0.2">
      <c r="A68" s="1" t="s">
        <v>25</v>
      </c>
      <c r="B68" s="2">
        <f>B62/((B36/1000)*B48*B30)/B34</f>
        <v>1.5950137003628877</v>
      </c>
      <c r="C68" t="s">
        <v>21</v>
      </c>
      <c r="D68" s="2">
        <f>D62/(D36*D48*D30)/D34*12</f>
        <v>231.27469794295294</v>
      </c>
      <c r="E68" s="7" t="s">
        <v>55</v>
      </c>
    </row>
    <row r="69" spans="1:11" x14ac:dyDescent="0.2">
      <c r="A69" s="1" t="s">
        <v>26</v>
      </c>
      <c r="B69" s="2">
        <f>B63/((B45/1000)*B48*B39)/B43</f>
        <v>2.9492255137652785</v>
      </c>
      <c r="C69" t="s">
        <v>21</v>
      </c>
      <c r="D69" s="2">
        <f>D63/(D45*D48*D30)/D43*12</f>
        <v>424.57688232526442</v>
      </c>
      <c r="E69" s="7" t="s">
        <v>55</v>
      </c>
    </row>
    <row r="70" spans="1:11" x14ac:dyDescent="0.2">
      <c r="A70" s="1" t="s">
        <v>27</v>
      </c>
      <c r="B70" s="5">
        <f>((MAX(B69,B68))/B28)*B20</f>
        <v>45.405497422708024</v>
      </c>
      <c r="C70" t="s">
        <v>1</v>
      </c>
      <c r="D70" s="5">
        <f>((MAX(D69,D68))/D28)*D20</f>
        <v>98.551511239408015</v>
      </c>
      <c r="E70" s="7" t="s">
        <v>53</v>
      </c>
      <c r="F70" t="s">
        <v>28</v>
      </c>
    </row>
    <row r="73" spans="1:11" x14ac:dyDescent="0.2">
      <c r="A73" s="28" t="s">
        <v>131</v>
      </c>
      <c r="C73" s="7" t="s">
        <v>127</v>
      </c>
    </row>
    <row r="75" spans="1:11" x14ac:dyDescent="0.2">
      <c r="A75" s="7" t="s">
        <v>128</v>
      </c>
      <c r="B75" s="62">
        <v>0.55000000000000004</v>
      </c>
      <c r="C75" s="45"/>
      <c r="D75" s="7"/>
      <c r="E75" s="7"/>
      <c r="H75" s="21" t="s">
        <v>130</v>
      </c>
      <c r="I75" s="16"/>
      <c r="J75" s="16"/>
      <c r="K75" s="17"/>
    </row>
    <row r="76" spans="1:11" x14ac:dyDescent="0.2">
      <c r="A76" t="s">
        <v>123</v>
      </c>
      <c r="B76" s="2">
        <f>B27*(50/(1-B75))/100</f>
        <v>1.64547724959008</v>
      </c>
      <c r="C76" s="19" t="s">
        <v>21</v>
      </c>
      <c r="D76" s="2">
        <f>D27*(50/(1-B75))/100</f>
        <v>239.34290075293922</v>
      </c>
      <c r="E76" s="7" t="s">
        <v>55</v>
      </c>
      <c r="H76" s="52" t="s">
        <v>129</v>
      </c>
      <c r="I76" s="47"/>
      <c r="J76" s="47"/>
      <c r="K76" s="53"/>
    </row>
    <row r="77" spans="1:11" x14ac:dyDescent="0.2">
      <c r="A77" t="s">
        <v>124</v>
      </c>
      <c r="B77" s="2">
        <f>B28*50/B75/100</f>
        <v>1.3462995678464289</v>
      </c>
      <c r="C77" s="19" t="s">
        <v>21</v>
      </c>
      <c r="D77" s="2">
        <f>D28*50/B75/100</f>
        <v>195.8260097069502</v>
      </c>
      <c r="E77" s="7" t="s">
        <v>55</v>
      </c>
      <c r="H77" s="15" t="s">
        <v>133</v>
      </c>
      <c r="I77" s="16"/>
      <c r="J77" s="54" t="s">
        <v>134</v>
      </c>
      <c r="K77" s="17" t="s">
        <v>132</v>
      </c>
    </row>
    <row r="78" spans="1:11" x14ac:dyDescent="0.2">
      <c r="A78" t="s">
        <v>125</v>
      </c>
      <c r="B78" s="64">
        <f>B49*(50/(1-B75))/100</f>
        <v>1308.2556848484169</v>
      </c>
      <c r="C78" s="65" t="s">
        <v>64</v>
      </c>
      <c r="D78" s="64">
        <f>D49*(50/(1-D75))/100</f>
        <v>434.48513766026161</v>
      </c>
      <c r="E78" s="7" t="s">
        <v>60</v>
      </c>
      <c r="H78" s="8" t="s">
        <v>135</v>
      </c>
      <c r="I78" s="9"/>
      <c r="J78" s="55">
        <v>0.65</v>
      </c>
      <c r="K78" s="46">
        <v>0.35</v>
      </c>
    </row>
    <row r="79" spans="1:11" x14ac:dyDescent="0.2">
      <c r="A79" t="s">
        <v>126</v>
      </c>
      <c r="B79" s="64">
        <f>B51*50/B75/100</f>
        <v>448.93191651506953</v>
      </c>
      <c r="C79" s="65" t="s">
        <v>64</v>
      </c>
      <c r="D79" s="64">
        <f>D51*50/B75/100</f>
        <v>333.32345521905154</v>
      </c>
      <c r="E79" s="7" t="s">
        <v>60</v>
      </c>
      <c r="H79" s="10" t="s">
        <v>136</v>
      </c>
      <c r="I79" s="47"/>
      <c r="J79" s="56">
        <v>0.6</v>
      </c>
      <c r="K79" s="48">
        <v>0.4</v>
      </c>
    </row>
    <row r="80" spans="1:11" x14ac:dyDescent="0.2">
      <c r="A80" s="7" t="s">
        <v>142</v>
      </c>
      <c r="B80" s="63">
        <f>B78+B79</f>
        <v>1757.1876013634865</v>
      </c>
      <c r="C80" s="7" t="s">
        <v>64</v>
      </c>
      <c r="D80" s="63">
        <f>D78+D79</f>
        <v>767.80859287931321</v>
      </c>
      <c r="E80" s="7" t="s">
        <v>60</v>
      </c>
      <c r="H80" s="10" t="s">
        <v>137</v>
      </c>
      <c r="I80" s="47"/>
      <c r="J80" s="56">
        <v>0.55000000000000004</v>
      </c>
      <c r="K80" s="48">
        <v>0.45</v>
      </c>
    </row>
    <row r="81" spans="5:11" x14ac:dyDescent="0.2">
      <c r="E81" s="44"/>
      <c r="H81" s="10" t="s">
        <v>138</v>
      </c>
      <c r="I81" s="47"/>
      <c r="J81" s="56">
        <v>0.5</v>
      </c>
      <c r="K81" s="48">
        <v>0.5</v>
      </c>
    </row>
    <row r="82" spans="5:11" x14ac:dyDescent="0.2">
      <c r="E82" s="44"/>
      <c r="H82" s="10" t="s">
        <v>139</v>
      </c>
      <c r="I82" s="47"/>
      <c r="J82" s="56">
        <v>0.45</v>
      </c>
      <c r="K82" s="48">
        <v>0.55000000000000004</v>
      </c>
    </row>
    <row r="83" spans="5:11" x14ac:dyDescent="0.2">
      <c r="H83" s="10" t="s">
        <v>140</v>
      </c>
      <c r="I83" s="47"/>
      <c r="J83" s="56">
        <v>0.4</v>
      </c>
      <c r="K83" s="48">
        <v>0.6</v>
      </c>
    </row>
    <row r="84" spans="5:11" x14ac:dyDescent="0.2">
      <c r="H84" s="49" t="s">
        <v>141</v>
      </c>
      <c r="I84" s="50"/>
      <c r="J84" s="57">
        <v>0.35</v>
      </c>
      <c r="K84" s="51">
        <v>0.65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B31"/>
  <sheetViews>
    <sheetView workbookViewId="0">
      <selection activeCell="B13" sqref="B13"/>
    </sheetView>
  </sheetViews>
  <sheetFormatPr defaultRowHeight="12.75" x14ac:dyDescent="0.2"/>
  <sheetData>
    <row r="3" spans="2:2" x14ac:dyDescent="0.2">
      <c r="B3" s="3" t="s">
        <v>42</v>
      </c>
    </row>
    <row r="4" spans="2:2" x14ac:dyDescent="0.2">
      <c r="B4" t="s">
        <v>43</v>
      </c>
    </row>
    <row r="6" spans="2:2" x14ac:dyDescent="0.2">
      <c r="B6" t="s">
        <v>44</v>
      </c>
    </row>
    <row r="7" spans="2:2" x14ac:dyDescent="0.2">
      <c r="B7" t="s">
        <v>45</v>
      </c>
    </row>
    <row r="8" spans="2:2" x14ac:dyDescent="0.2">
      <c r="B8" s="7" t="s">
        <v>119</v>
      </c>
    </row>
    <row r="9" spans="2:2" x14ac:dyDescent="0.2">
      <c r="B9" s="7" t="s">
        <v>118</v>
      </c>
    </row>
    <row r="10" spans="2:2" x14ac:dyDescent="0.2">
      <c r="B10" s="7" t="s">
        <v>120</v>
      </c>
    </row>
    <row r="12" spans="2:2" x14ac:dyDescent="0.2">
      <c r="B12" t="s">
        <v>46</v>
      </c>
    </row>
    <row r="13" spans="2:2" x14ac:dyDescent="0.2">
      <c r="B13" s="7"/>
    </row>
    <row r="14" spans="2:2" x14ac:dyDescent="0.2">
      <c r="B14" s="7" t="s">
        <v>121</v>
      </c>
    </row>
    <row r="16" spans="2:2" x14ac:dyDescent="0.2">
      <c r="B16" s="3" t="s">
        <v>68</v>
      </c>
    </row>
    <row r="17" spans="2:2" x14ac:dyDescent="0.2">
      <c r="B17" s="7" t="s">
        <v>65</v>
      </c>
    </row>
    <row r="19" spans="2:2" x14ac:dyDescent="0.2">
      <c r="B19" s="3" t="s">
        <v>86</v>
      </c>
    </row>
    <row r="20" spans="2:2" x14ac:dyDescent="0.2">
      <c r="B20" t="s">
        <v>82</v>
      </c>
    </row>
    <row r="21" spans="2:2" x14ac:dyDescent="0.2">
      <c r="B21" t="s">
        <v>83</v>
      </c>
    </row>
    <row r="22" spans="2:2" x14ac:dyDescent="0.2">
      <c r="B22" t="s">
        <v>84</v>
      </c>
    </row>
    <row r="23" spans="2:2" x14ac:dyDescent="0.2">
      <c r="B23" t="s">
        <v>85</v>
      </c>
    </row>
    <row r="25" spans="2:2" x14ac:dyDescent="0.2">
      <c r="B25" s="3" t="s">
        <v>110</v>
      </c>
    </row>
    <row r="26" spans="2:2" x14ac:dyDescent="0.2">
      <c r="B26" s="7" t="s">
        <v>89</v>
      </c>
    </row>
    <row r="27" spans="2:2" x14ac:dyDescent="0.2">
      <c r="B27" s="39" t="s">
        <v>88</v>
      </c>
    </row>
    <row r="28" spans="2:2" x14ac:dyDescent="0.2">
      <c r="B28" s="40" t="s">
        <v>91</v>
      </c>
    </row>
    <row r="29" spans="2:2" x14ac:dyDescent="0.2">
      <c r="B29" s="39" t="s">
        <v>90</v>
      </c>
    </row>
    <row r="30" spans="2:2" x14ac:dyDescent="0.2">
      <c r="B30" s="40" t="s">
        <v>93</v>
      </c>
    </row>
    <row r="31" spans="2:2" x14ac:dyDescent="0.2">
      <c r="B31" s="39" t="s">
        <v>92</v>
      </c>
    </row>
  </sheetData>
  <hyperlinks>
    <hyperlink ref="B27" r:id="rId1"/>
    <hyperlink ref="B29" r:id="rId2"/>
    <hyperlink ref="B31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Calcs</vt:lpstr>
      <vt:lpstr>Notes &amp; Links</vt:lpstr>
      <vt:lpstr>Calcs!leg</vt:lpstr>
      <vt:lpstr>Calcs!MaxGBraking</vt:lpstr>
      <vt:lpstr>Calcs!padcf</vt:lpstr>
      <vt:lpstr>Calcs!pedalratio</vt:lpstr>
      <vt:lpstr>Calcs!pistondiameters</vt:lpstr>
    </vt:vector>
  </TitlesOfParts>
  <Company>Rev Limit Racing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Kift</dc:creator>
  <cp:lastModifiedBy>Nate</cp:lastModifiedBy>
  <dcterms:created xsi:type="dcterms:W3CDTF">2006-02-21T23:27:33Z</dcterms:created>
  <dcterms:modified xsi:type="dcterms:W3CDTF">2017-04-02T20:37:25Z</dcterms:modified>
</cp:coreProperties>
</file>